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<sst xmlns="http://schemas.openxmlformats.org/spreadsheetml/2006/main" count="1626" uniqueCount="268">
  <si>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</si>
  <si>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</si>
  <si>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</si>
  <si>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</si>
  <si>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</si>
  <si>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</si>
  <si>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</si>
  <si>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</si>
  <si>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</si>
  <si>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</si>
  <si>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</si>
  <si>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</si>
  <si>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</si>
  <si>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</si>
  <si>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</si>
  <si>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</si>
  <si>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</si>
  <si>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</si>
  <si>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</si>
  <si>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</si>
  <si>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</si>
  <si>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</si>
  <si>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</si>
  <si>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</si>
  <si>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</si>
  <si>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</si>
  <si>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</si>
  <si>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</si>
  <si>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</si>
  <si>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</si>
  <si>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</si>
  <si>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</si>
  <si>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</si>
  <si>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</si>
  <si>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</si>
  <si>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</si>
  <si>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</si>
  <si>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</si>
  <si>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</si>
  <si>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</si>
  <si>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</si>
  <si>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</si>
  <si>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</si>
  <si>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</si>
  <si>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</si>
  <si>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</si>
  <si>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</si>
  <si>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</si>
  <si>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</si>
  <si>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</si>
  <si>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</si>
  <si>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</si>
  <si>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</si>
  <si>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</si>
  <si>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</si>
  <si>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</si>
  <si>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</si>
  <si>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</si>
  <si>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</si>
  <si>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</si>
  <si>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</si>
  <si>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</si>
  <si>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</si>
  <si>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</si>
  <si>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</si>
  <si>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</si>
  <si>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</si>
  <si>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</si>
  <si>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</si>
  <si>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</si>
  <si>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</si>
  <si>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</si>
  <si>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</si>
  <si>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</si>
  <si>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</si>
  <si>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</si>
  <si>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</si>
  <si>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</si>
  <si>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</si>
  <si>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</si>
  <si>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</si>
  <si>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</si>
  <si>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</si>
  <si>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</si>
  <si>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</si>
  <si>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</si>
  <si>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</si>
  <si>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</si>
  <si>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</si>
  <si>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</si>
  <si>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</si>
  <si>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</si>
  <si>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</si>
  <si>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</si>
  <si>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</si>
  <si>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</si>
  <si>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</si>
  <si>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</si>
  <si>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</si>
  <si>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</si>
  <si>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</si>
  <si>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</si>
  <si>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</si>
  <si>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</si>
  <si>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</si>
  <si>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</si>
  <si>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</si>
  <si>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</si>
  <si>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</si>
  <si>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</si>
  <si>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</si>
  <si>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</si>
  <si>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</si>
  <si>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</si>
  <si>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</si>
  <si>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</si>
  <si>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</si>
  <si>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</si>
  <si>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</si>
  <si>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</si>
  <si>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</si>
  <si>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</si>
  <si>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</si>
  <si>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</si>
  <si>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</si>
  <si>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</si>
  <si>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</si>
  <si>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</si>
  <si>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</si>
  <si>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</si>
  <si>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</si>
  <si>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</si>
  <si>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</si>
  <si>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</si>
  <si>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</si>
  <si>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</si>
  <si>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</si>
  <si>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</si>
  <si>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</si>
  <si>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</si>
  <si>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</si>
  <si>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</si>
  <si>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</si>
  <si>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</si>
  <si>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</si>
  <si>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</si>
  <si>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</si>
  <si>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</si>
  <si>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</si>
  <si>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</si>
  <si>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</si>
  <si>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</si>
  <si>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</si>
  <si>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</si>
  <si>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</si>
  <si>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</si>
  <si>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</si>
  <si>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</si>
  <si>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</si>
  <si>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</si>
  <si>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</si>
  <si>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</si>
  <si>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</si>
  <si>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</si>
  <si>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</si>
  <si>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</si>
  <si>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</si>
  <si>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</si>
  <si>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</si>
  <si>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</si>
  <si>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</si>
  <si>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</si>
  <si>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</si>
  <si>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</si>
  <si>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</si>
  <si>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</si>
  <si>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</si>
  <si>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</si>
  <si>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</si>
  <si>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</si>
  <si>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</si>
  <si>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</si>
  <si>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</si>
  <si>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</si>
  <si>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</si>
  <si>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</si>
  <si>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</si>
  <si>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</si>
  <si>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</si>
  <si>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</si>
  <si>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</si>
  <si>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</si>
  <si>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</si>
  <si>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</si>
  <si>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</si>
  <si>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</si>
  <si>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</si>
  <si>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</si>
  <si>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</si>
  <si>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</si>
  <si>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</si>
  <si>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</si>
  <si>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</si>
  <si>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</si>
  <si>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</si>
  <si>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</si>
  <si>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</si>
  <si>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</si>
  <si>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</si>
  <si>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</si>
  <si>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</si>
  <si>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</si>
  <si>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</si>
  <si>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</si>
  <si>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</si>
  <si>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</si>
  <si>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</si>
  <si>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</si>
  <si>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</si>
  <si>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</si>
  <si>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</si>
  <si>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</si>
  <si>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</si>
  <si>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</si>
  <si>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</si>
  <si>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</si>
  <si>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</si>
  <si>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</si>
  <si>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</si>
  <si>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</si>
  <si>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</si>
  <si>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</si>
  <si>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</si>
  <si>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</si>
  <si>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</si>
  <si>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</si>
  <si>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</si>
  <si>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</si>
  <si>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</si>
  <si>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</si>
  <si>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</si>
  <si>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</si>
  <si>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</si>
  <si>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</si>
  <si>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</si>
  <si>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</si>
  <si>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</si>
  <si>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</si>
  <si>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</si>
  <si>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</si>
  <si>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</si>
  <si>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</si>
  <si>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</si>
  <si>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</si>
  <si>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</si>
  <si>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</si>
  <si>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</si>
  <si>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</si>
  <si>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</si>
  <si>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</si>
  <si>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</si>
  <si>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</si>
  <si>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</si>
  <si>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</si>
  <si>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</si>
  <si>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</si>
  <si>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</si>
  <si>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26.08.14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</si>
</sst>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18695752.049999993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7" sqref="I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261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259</v>
      </c>
      <c r="H4" s="184" t="s">
        <v>260</v>
      </c>
      <c r="I4" s="186" t="s">
        <v>188</v>
      </c>
      <c r="J4" s="188" t="s">
        <v>189</v>
      </c>
      <c r="K4" s="190" t="s">
        <v>264</v>
      </c>
      <c r="L4" s="191"/>
      <c r="M4" s="167"/>
      <c r="N4" s="198" t="s">
        <v>267</v>
      </c>
      <c r="O4" s="186" t="s">
        <v>136</v>
      </c>
      <c r="P4" s="186" t="s">
        <v>135</v>
      </c>
      <c r="Q4" s="190" t="s">
        <v>265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258</v>
      </c>
      <c r="F5" s="181"/>
      <c r="G5" s="183"/>
      <c r="H5" s="185"/>
      <c r="I5" s="187"/>
      <c r="J5" s="189"/>
      <c r="K5" s="192"/>
      <c r="L5" s="193"/>
      <c r="M5" s="151" t="s">
        <v>262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299175.74</v>
      </c>
      <c r="G8" s="22">
        <f aca="true" t="shared" si="0" ref="G8:G30">F8-E8</f>
        <v>-12837.650000000023</v>
      </c>
      <c r="H8" s="51">
        <f>F8/E8*100</f>
        <v>95.88554516843011</v>
      </c>
      <c r="I8" s="36">
        <f aca="true" t="shared" si="1" ref="I8:I17">F8-D8</f>
        <v>-189300.56</v>
      </c>
      <c r="J8" s="36">
        <f aca="true" t="shared" si="2" ref="J8:J14">F8/D8*100</f>
        <v>61.24672578792462</v>
      </c>
      <c r="K8" s="36">
        <f>F8-306776.9</f>
        <v>-7601.160000000033</v>
      </c>
      <c r="L8" s="136">
        <f>F8/306776.9</f>
        <v>0.975222515124183</v>
      </c>
      <c r="M8" s="22">
        <f>M10+M19+M33+M56+M68+M30</f>
        <v>40778.67999999999</v>
      </c>
      <c r="N8" s="22">
        <f>N10+N19+N33+N56+N68+N30</f>
        <v>30050.45999999999</v>
      </c>
      <c r="O8" s="36">
        <f aca="true" t="shared" si="3" ref="O8:O71">N8-M8</f>
        <v>-10728.220000000005</v>
      </c>
      <c r="P8" s="36">
        <f>F8/M8*100</f>
        <v>733.657244422821</v>
      </c>
      <c r="Q8" s="36">
        <f>N8-38892.4</f>
        <v>-8841.940000000013</v>
      </c>
      <c r="R8" s="134">
        <f>N8/38892.4</f>
        <v>0.7726563544548546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244321.08</v>
      </c>
      <c r="G9" s="22">
        <f t="shared" si="0"/>
        <v>244321.08</v>
      </c>
      <c r="H9" s="20"/>
      <c r="I9" s="56">
        <f t="shared" si="1"/>
        <v>-142692.12000000002</v>
      </c>
      <c r="J9" s="56">
        <f t="shared" si="2"/>
        <v>63.129908747298536</v>
      </c>
      <c r="K9" s="56"/>
      <c r="L9" s="135"/>
      <c r="M9" s="20">
        <f>M10+M17</f>
        <v>33764.899999999994</v>
      </c>
      <c r="N9" s="20">
        <f>N10+N17</f>
        <v>26435.459999999992</v>
      </c>
      <c r="O9" s="36">
        <f t="shared" si="3"/>
        <v>-7329.440000000002</v>
      </c>
      <c r="P9" s="56">
        <f>F9/M9*100</f>
        <v>723.594857381482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244321.08</v>
      </c>
      <c r="G10" s="49">
        <f t="shared" si="0"/>
        <v>-10814.920000000013</v>
      </c>
      <c r="H10" s="40">
        <f aca="true" t="shared" si="4" ref="H10:H17">F10/E10*100</f>
        <v>95.76111564028596</v>
      </c>
      <c r="I10" s="56">
        <f t="shared" si="1"/>
        <v>-142692.12000000002</v>
      </c>
      <c r="J10" s="56">
        <f t="shared" si="2"/>
        <v>63.129908747298536</v>
      </c>
      <c r="K10" s="141">
        <f>F10-242707.3</f>
        <v>1613.7799999999988</v>
      </c>
      <c r="L10" s="142">
        <f>F10/242707.3</f>
        <v>1.0066490789523017</v>
      </c>
      <c r="M10" s="40">
        <f>E10-липень!E10</f>
        <v>33764.899999999994</v>
      </c>
      <c r="N10" s="40">
        <f>F10-липень!F10</f>
        <v>26435.459999999992</v>
      </c>
      <c r="O10" s="53">
        <f t="shared" si="3"/>
        <v>-7329.440000000002</v>
      </c>
      <c r="P10" s="56">
        <f aca="true" t="shared" si="5" ref="P10:P17">N10/M10*100</f>
        <v>78.29272410106351</v>
      </c>
      <c r="Q10" s="141">
        <f>N10-31381.5</f>
        <v>-4946.040000000008</v>
      </c>
      <c r="R10" s="142">
        <f>N10/31381.5</f>
        <v>0.8423899431193534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50.22</v>
      </c>
      <c r="G19" s="49">
        <f t="shared" si="0"/>
        <v>-995.3799999999999</v>
      </c>
      <c r="H19" s="40">
        <f aca="true" t="shared" si="6" ref="H19:H29">F19/E19*100</f>
        <v>4.802983932670238</v>
      </c>
      <c r="I19" s="56">
        <f aca="true" t="shared" si="7" ref="I19:I29">F19-D19</f>
        <v>-949.78</v>
      </c>
      <c r="J19" s="56">
        <f aca="true" t="shared" si="8" ref="J19:J29">F19/D19*100</f>
        <v>5.022</v>
      </c>
      <c r="K19" s="56">
        <f>F19-6117.2</f>
        <v>-6066.98</v>
      </c>
      <c r="L19" s="135">
        <f>F19/6117.2</f>
        <v>0.008209638396652064</v>
      </c>
      <c r="M19" s="40">
        <f>E19-липень!E19</f>
        <v>12</v>
      </c>
      <c r="N19" s="40">
        <f>F19-липень!F19</f>
        <v>-299.15999999999997</v>
      </c>
      <c r="O19" s="53">
        <f t="shared" si="3"/>
        <v>-311.15999999999997</v>
      </c>
      <c r="P19" s="56">
        <f aca="true" t="shared" si="9" ref="P19:P29">N19/M19*100</f>
        <v>-2492.9999999999995</v>
      </c>
      <c r="Q19" s="56">
        <f>N19-74.4</f>
        <v>-373.55999999999995</v>
      </c>
      <c r="R19" s="135">
        <f>N19/74.4</f>
        <v>-4.0209677419354835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550.64</v>
      </c>
      <c r="G29" s="49">
        <f t="shared" si="0"/>
        <v>-234.96000000000004</v>
      </c>
      <c r="H29" s="40">
        <f t="shared" si="6"/>
        <v>70.09164969450102</v>
      </c>
      <c r="I29" s="56">
        <f t="shared" si="7"/>
        <v>-379.36</v>
      </c>
      <c r="J29" s="56">
        <f t="shared" si="8"/>
        <v>59.20860215053764</v>
      </c>
      <c r="K29" s="148">
        <f>F29-2498.05</f>
        <v>-1947.4100000000003</v>
      </c>
      <c r="L29" s="149">
        <f>F29/2498.05</f>
        <v>0.2204279337883549</v>
      </c>
      <c r="M29" s="40">
        <f>E29-липень!E29</f>
        <v>52</v>
      </c>
      <c r="N29" s="40">
        <f>F29-липень!F29</f>
        <v>-300</v>
      </c>
      <c r="O29" s="148">
        <f t="shared" si="3"/>
        <v>-352</v>
      </c>
      <c r="P29" s="145">
        <f t="shared" si="9"/>
        <v>-576.9230769230769</v>
      </c>
      <c r="Q29" s="148">
        <f>N29-74.37</f>
        <v>-374.37</v>
      </c>
      <c r="R29" s="149">
        <f>N29/74.37</f>
        <v>-4.033884630899556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50520.49</v>
      </c>
      <c r="G33" s="49">
        <f aca="true" t="shared" si="14" ref="G33:G72">F33-E33</f>
        <v>-780.3000000000029</v>
      </c>
      <c r="H33" s="40">
        <f aca="true" t="shared" si="15" ref="H33:H67">F33/E33*100</f>
        <v>98.47897079167787</v>
      </c>
      <c r="I33" s="56">
        <f>F33-D33</f>
        <v>-43045.51</v>
      </c>
      <c r="J33" s="56">
        <f aca="true" t="shared" si="16" ref="J33:J72">F33/D33*100</f>
        <v>53.99449586388217</v>
      </c>
      <c r="K33" s="141">
        <f>F33-53788.3</f>
        <v>-3267.810000000005</v>
      </c>
      <c r="L33" s="142">
        <f>F33/53788.3</f>
        <v>0.9392468250530319</v>
      </c>
      <c r="M33" s="40">
        <f>E33-липень!E33</f>
        <v>6439.68</v>
      </c>
      <c r="N33" s="40">
        <f>F33-липень!F33</f>
        <v>3418.3299999999945</v>
      </c>
      <c r="O33" s="53">
        <f t="shared" si="3"/>
        <v>-3021.350000000006</v>
      </c>
      <c r="P33" s="56">
        <f aca="true" t="shared" si="17" ref="P33:P67">N33/M33*100</f>
        <v>53.08229601470872</v>
      </c>
      <c r="Q33" s="141">
        <f>N33-6951.4</f>
        <v>-3533.070000000005</v>
      </c>
      <c r="R33" s="142">
        <f>N33/6951.4</f>
        <v>0.4917469862186027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37570.41</v>
      </c>
      <c r="G55" s="144">
        <f t="shared" si="14"/>
        <v>-220.07999999999447</v>
      </c>
      <c r="H55" s="146">
        <f t="shared" si="15"/>
        <v>99.41763126119827</v>
      </c>
      <c r="I55" s="145">
        <f t="shared" si="18"/>
        <v>-32695.589999999997</v>
      </c>
      <c r="J55" s="145">
        <f t="shared" si="16"/>
        <v>53.46883272137307</v>
      </c>
      <c r="K55" s="148">
        <f>F55-38852.08</f>
        <v>-1281.6699999999983</v>
      </c>
      <c r="L55" s="149">
        <f>F55/38852.08</f>
        <v>0.9670115473869095</v>
      </c>
      <c r="M55" s="40">
        <f>E55-липень!E55</f>
        <v>4679.68</v>
      </c>
      <c r="N55" s="40">
        <f>F55-липень!F55</f>
        <v>2687.510000000002</v>
      </c>
      <c r="O55" s="148">
        <f t="shared" si="3"/>
        <v>-1992.1699999999983</v>
      </c>
      <c r="P55" s="148">
        <f t="shared" si="17"/>
        <v>57.42935414387313</v>
      </c>
      <c r="Q55" s="163">
        <f>N55-5157.94</f>
        <v>-2470.4299999999976</v>
      </c>
      <c r="R55" s="164">
        <f>N55/5157.94</f>
        <v>0.5210432847221957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1.51+4278.1</f>
        <v>4279.610000000001</v>
      </c>
      <c r="G56" s="49">
        <f t="shared" si="14"/>
        <v>-224.28999999999905</v>
      </c>
      <c r="H56" s="40">
        <f t="shared" si="15"/>
        <v>95.02009369657411</v>
      </c>
      <c r="I56" s="56">
        <f t="shared" si="18"/>
        <v>-2580.3899999999994</v>
      </c>
      <c r="J56" s="56">
        <f t="shared" si="16"/>
        <v>62.384985422740534</v>
      </c>
      <c r="K56" s="56">
        <f>F56-4138.3</f>
        <v>141.3100000000004</v>
      </c>
      <c r="L56" s="135">
        <f>F56/4138.3</f>
        <v>1.034146871903922</v>
      </c>
      <c r="M56" s="40">
        <f>E56-липень!E56</f>
        <v>553.5999999999995</v>
      </c>
      <c r="N56" s="40">
        <f>F56-липень!F56</f>
        <v>495.8400000000006</v>
      </c>
      <c r="O56" s="53">
        <f t="shared" si="3"/>
        <v>-57.759999999998854</v>
      </c>
      <c r="P56" s="56">
        <f t="shared" si="17"/>
        <v>89.5664739884395</v>
      </c>
      <c r="Q56" s="56">
        <f>N56-484.9</f>
        <v>10.940000000000623</v>
      </c>
      <c r="R56" s="135">
        <f>N56/484.9</f>
        <v>1.0225613528562603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8436.57</v>
      </c>
      <c r="G74" s="50">
        <f aca="true" t="shared" si="24" ref="G74:G92">F74-E74</f>
        <v>-2162.9300000000003</v>
      </c>
      <c r="H74" s="51">
        <f aca="true" t="shared" si="25" ref="H74:H87">F74/E74*100</f>
        <v>79.59403745459691</v>
      </c>
      <c r="I74" s="36">
        <f aca="true" t="shared" si="26" ref="I74:I92">F74-D74</f>
        <v>-9921.73</v>
      </c>
      <c r="J74" s="36">
        <f aca="true" t="shared" si="27" ref="J74:J92">F74/D74*100</f>
        <v>45.955072092731896</v>
      </c>
      <c r="K74" s="36">
        <f>F74-12962.5</f>
        <v>-4525.93</v>
      </c>
      <c r="L74" s="136">
        <f>F74/12962.5</f>
        <v>0.6508443587270973</v>
      </c>
      <c r="M74" s="22">
        <f>M77+M86+M88+M89+M94+M95+M96+M97+M99+M87+M104</f>
        <v>1620.5</v>
      </c>
      <c r="N74" s="22">
        <f>N77+N86+N88+N89+N94+N95+N96+N97+N99+N32+N104+N87+N103</f>
        <v>992.43</v>
      </c>
      <c r="O74" s="55">
        <f aca="true" t="shared" si="28" ref="O74:O92">N74-M74</f>
        <v>-628.07</v>
      </c>
      <c r="P74" s="36">
        <f>N74/M74*100</f>
        <v>61.242209194693</v>
      </c>
      <c r="Q74" s="36">
        <f>N74-1702.6</f>
        <v>-710.17</v>
      </c>
      <c r="R74" s="136">
        <f>N74/1702.6</f>
        <v>0.5828908727828028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56">
        <f>F77-1694.5</f>
        <v>-1571.05</v>
      </c>
      <c r="L77" s="135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82.19</v>
      </c>
      <c r="G89" s="49">
        <f t="shared" si="24"/>
        <v>-31.810000000000002</v>
      </c>
      <c r="H89" s="40">
        <f>F89/E89*100</f>
        <v>72.09649122807016</v>
      </c>
      <c r="I89" s="56">
        <f t="shared" si="26"/>
        <v>-92.81</v>
      </c>
      <c r="J89" s="56">
        <f t="shared" si="27"/>
        <v>46.965714285714284</v>
      </c>
      <c r="K89" s="56">
        <f>F89-108.5</f>
        <v>-26.310000000000002</v>
      </c>
      <c r="L89" s="135">
        <f>F89/108.5</f>
        <v>0.7575115207373272</v>
      </c>
      <c r="M89" s="40">
        <f>E89-липень!E89</f>
        <v>15</v>
      </c>
      <c r="N89" s="40">
        <f>F89-липень!F89</f>
        <v>3.950000000000003</v>
      </c>
      <c r="O89" s="53">
        <f t="shared" si="28"/>
        <v>-11.049999999999997</v>
      </c>
      <c r="P89" s="56">
        <f>N89/M89*100</f>
        <v>26.333333333333353</v>
      </c>
      <c r="Q89" s="56">
        <f>N89-14.5</f>
        <v>-10.549999999999997</v>
      </c>
      <c r="R89" s="135">
        <f>N89/14.5</f>
        <v>0.2724137931034485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618.63</v>
      </c>
      <c r="G96" s="49">
        <f t="shared" si="31"/>
        <v>-75.87</v>
      </c>
      <c r="H96" s="40">
        <f>F96/E96*100</f>
        <v>89.0755939524838</v>
      </c>
      <c r="I96" s="56">
        <f t="shared" si="32"/>
        <v>-581.37</v>
      </c>
      <c r="J96" s="56">
        <f>F96/D96*100</f>
        <v>51.5525</v>
      </c>
      <c r="K96" s="56">
        <f>F96-693.4</f>
        <v>-74.76999999999998</v>
      </c>
      <c r="L96" s="135">
        <f>F96/693.4</f>
        <v>0.892169022209403</v>
      </c>
      <c r="M96" s="40">
        <f>E96-липень!E96</f>
        <v>90</v>
      </c>
      <c r="N96" s="40">
        <f>F96-липень!F96</f>
        <v>87.22000000000003</v>
      </c>
      <c r="O96" s="53">
        <f t="shared" si="33"/>
        <v>-2.7799999999999727</v>
      </c>
      <c r="P96" s="56">
        <f>N96/M96*100</f>
        <v>96.91111111111114</v>
      </c>
      <c r="Q96" s="56">
        <f>N96-90.8</f>
        <v>-3.57999999999997</v>
      </c>
      <c r="R96" s="135">
        <f>N96/90.8</f>
        <v>0.9605726872246699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2637.89</v>
      </c>
      <c r="G99" s="49">
        <f t="shared" si="31"/>
        <v>40.88999999999987</v>
      </c>
      <c r="H99" s="40">
        <f>F99/E99*100</f>
        <v>101.57450904890257</v>
      </c>
      <c r="I99" s="56">
        <f t="shared" si="32"/>
        <v>-1934.81</v>
      </c>
      <c r="J99" s="56">
        <f>F99/D99*100</f>
        <v>57.68779933081112</v>
      </c>
      <c r="K99" s="56">
        <f>F99-2979.1</f>
        <v>-341.21000000000004</v>
      </c>
      <c r="L99" s="135">
        <f>F99/2979.1</f>
        <v>0.8854654090161458</v>
      </c>
      <c r="M99" s="40">
        <f>E99-липень!E99</f>
        <v>410</v>
      </c>
      <c r="N99" s="40">
        <f>F99-липень!F99</f>
        <v>291.7999999999997</v>
      </c>
      <c r="O99" s="53">
        <f t="shared" si="33"/>
        <v>-118.20000000000027</v>
      </c>
      <c r="P99" s="56">
        <f>N99/M99*100</f>
        <v>71.170731707317</v>
      </c>
      <c r="Q99" s="56">
        <f>N99-355.4</f>
        <v>-63.60000000000025</v>
      </c>
      <c r="R99" s="135">
        <f>N99/355.4</f>
        <v>0.8210467079347207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619.7</v>
      </c>
      <c r="G102" s="144"/>
      <c r="H102" s="146"/>
      <c r="I102" s="145"/>
      <c r="J102" s="145"/>
      <c r="K102" s="148">
        <f>F102-421.2</f>
        <v>198.50000000000006</v>
      </c>
      <c r="L102" s="149">
        <f>F102/421.2</f>
        <v>1.471272554605888</v>
      </c>
      <c r="M102" s="40">
        <f>E102-липень!E102</f>
        <v>0</v>
      </c>
      <c r="N102" s="40">
        <f>F102-липень!F102</f>
        <v>149.80000000000007</v>
      </c>
      <c r="O102" s="53"/>
      <c r="P102" s="60"/>
      <c r="Q102" s="60">
        <f>N102-95.6</f>
        <v>54.200000000000074</v>
      </c>
      <c r="R102" s="138">
        <f>N102/95.6</f>
        <v>1.5669456066945615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307629.91</v>
      </c>
      <c r="G107" s="50">
        <f>F107-E107</f>
        <v>-15004.180000000051</v>
      </c>
      <c r="H107" s="51">
        <f>F107/E107*100</f>
        <v>95.3494746943821</v>
      </c>
      <c r="I107" s="36">
        <f t="shared" si="34"/>
        <v>-199249.69</v>
      </c>
      <c r="J107" s="36">
        <f t="shared" si="36"/>
        <v>60.69092344612014</v>
      </c>
      <c r="K107" s="36">
        <f>F107-319755.3</f>
        <v>-12125.390000000014</v>
      </c>
      <c r="L107" s="136">
        <f>F107/319755.3</f>
        <v>0.9620791586566352</v>
      </c>
      <c r="M107" s="22">
        <f>M8+M74+M105+M106</f>
        <v>42402.17999999999</v>
      </c>
      <c r="N107" s="22">
        <f>N8+N74+N105+N106</f>
        <v>31044.97999999999</v>
      </c>
      <c r="O107" s="55">
        <f t="shared" si="35"/>
        <v>-11357.200000000004</v>
      </c>
      <c r="P107" s="36">
        <f>N107/M107*100</f>
        <v>73.21552806954735</v>
      </c>
      <c r="Q107" s="36">
        <f>N107-40595</f>
        <v>-9550.020000000011</v>
      </c>
      <c r="R107" s="136">
        <f>N107/40595</f>
        <v>0.7647488606971299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244939.71</v>
      </c>
      <c r="G108" s="71">
        <f>G10-G18+G96</f>
        <v>-10890.790000000014</v>
      </c>
      <c r="H108" s="72">
        <f>F108/E108*100</f>
        <v>95.74296653448279</v>
      </c>
      <c r="I108" s="52">
        <f t="shared" si="34"/>
        <v>-143273.49000000002</v>
      </c>
      <c r="J108" s="52">
        <f t="shared" si="36"/>
        <v>63.09412199276068</v>
      </c>
      <c r="K108" s="52">
        <f>F108-243489.6</f>
        <v>1450.109999999986</v>
      </c>
      <c r="L108" s="137">
        <f>F108/243489.6</f>
        <v>1.0059555315709583</v>
      </c>
      <c r="M108" s="71">
        <f>M10-M18+M96</f>
        <v>33854.899999999994</v>
      </c>
      <c r="N108" s="71">
        <f>N10-N18+N96</f>
        <v>26522.679999999993</v>
      </c>
      <c r="O108" s="53">
        <f t="shared" si="35"/>
        <v>-7332.220000000001</v>
      </c>
      <c r="P108" s="52">
        <f>N108/M108*100</f>
        <v>78.3422192946959</v>
      </c>
      <c r="Q108" s="52">
        <f>N108-31472.4</f>
        <v>-4949.720000000008</v>
      </c>
      <c r="R108" s="137">
        <f>N108/31472.4</f>
        <v>0.8427282317204914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62690.19999999998</v>
      </c>
      <c r="G109" s="62">
        <f>F109-E109</f>
        <v>-4113.390000000043</v>
      </c>
      <c r="H109" s="72">
        <f>F109/E109*100</f>
        <v>93.84256145515528</v>
      </c>
      <c r="I109" s="52">
        <f t="shared" si="34"/>
        <v>-55976.19999999998</v>
      </c>
      <c r="J109" s="52">
        <f t="shared" si="36"/>
        <v>52.82893894143582</v>
      </c>
      <c r="K109" s="52">
        <f>F109-76265.7</f>
        <v>-13575.500000000015</v>
      </c>
      <c r="L109" s="137">
        <f>F109/76265.7</f>
        <v>0.8219973067840456</v>
      </c>
      <c r="M109" s="71">
        <f>M107-M108</f>
        <v>8547.279999999999</v>
      </c>
      <c r="N109" s="71">
        <f>N107-N108</f>
        <v>4522.299999999996</v>
      </c>
      <c r="O109" s="53">
        <f t="shared" si="35"/>
        <v>-4024.980000000003</v>
      </c>
      <c r="P109" s="52">
        <f>N109/M109*100</f>
        <v>52.90922960286777</v>
      </c>
      <c r="Q109" s="52">
        <f>N109-9122.6</f>
        <v>-4600.300000000005</v>
      </c>
      <c r="R109" s="137">
        <f>N109/9122.6</f>
        <v>0.49572490298818267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244939.71</v>
      </c>
      <c r="G110" s="111">
        <f>F110-E110</f>
        <v>-5520.890000000014</v>
      </c>
      <c r="H110" s="72">
        <f>F110/E110*100</f>
        <v>97.79570519275286</v>
      </c>
      <c r="I110" s="81">
        <f t="shared" si="34"/>
        <v>-143273.49000000002</v>
      </c>
      <c r="J110" s="52">
        <f t="shared" si="36"/>
        <v>63.09412199276068</v>
      </c>
      <c r="K110" s="52"/>
      <c r="L110" s="137"/>
      <c r="M110" s="72">
        <f>E110-липень!E110</f>
        <v>33854.899999999994</v>
      </c>
      <c r="N110" s="71">
        <f>N108</f>
        <v>26522.679999999993</v>
      </c>
      <c r="O110" s="63">
        <f t="shared" si="35"/>
        <v>-7332.220000000001</v>
      </c>
      <c r="P110" s="52">
        <f>N110/M110*100</f>
        <v>78.3422192946959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940.77</v>
      </c>
      <c r="G115" s="49">
        <f t="shared" si="37"/>
        <v>-1411.33</v>
      </c>
      <c r="H115" s="40">
        <f aca="true" t="shared" si="39" ref="H115:H126">F115/E115*100</f>
        <v>39.99702393605714</v>
      </c>
      <c r="I115" s="60">
        <f t="shared" si="38"/>
        <v>-2730.73</v>
      </c>
      <c r="J115" s="60">
        <f aca="true" t="shared" si="40" ref="J115:J121">F115/D115*100</f>
        <v>25.623587089745335</v>
      </c>
      <c r="K115" s="60">
        <f>F115-2927.1</f>
        <v>-1986.33</v>
      </c>
      <c r="L115" s="138">
        <f>F115/2927.1</f>
        <v>0.32140002049810396</v>
      </c>
      <c r="M115" s="40">
        <f>E115-липень!E115</f>
        <v>327.5</v>
      </c>
      <c r="N115" s="40">
        <f>F115-липень!F115</f>
        <v>127.41999999999996</v>
      </c>
      <c r="O115" s="53">
        <f aca="true" t="shared" si="41" ref="O115:O126">N115-M115</f>
        <v>-200.08000000000004</v>
      </c>
      <c r="P115" s="60">
        <f>N115/M115*100</f>
        <v>38.90687022900762</v>
      </c>
      <c r="Q115" s="60">
        <f>N115-728.3</f>
        <v>-600.88</v>
      </c>
      <c r="R115" s="138">
        <f>N115/728.3</f>
        <v>0.17495537553206092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1147.1299999999999</v>
      </c>
      <c r="G117" s="62">
        <f t="shared" si="37"/>
        <v>-1383.47</v>
      </c>
      <c r="H117" s="72">
        <f t="shared" si="39"/>
        <v>45.330356437208565</v>
      </c>
      <c r="I117" s="61">
        <f t="shared" si="38"/>
        <v>-2792.4700000000003</v>
      </c>
      <c r="J117" s="61">
        <f t="shared" si="40"/>
        <v>29.11793075439131</v>
      </c>
      <c r="K117" s="61">
        <f>F117-3123.4</f>
        <v>-1976.2700000000002</v>
      </c>
      <c r="L117" s="139">
        <f>F117/3123.4</f>
        <v>0.367269642056733</v>
      </c>
      <c r="M117" s="62">
        <f>M115+M116+M114</f>
        <v>349.5</v>
      </c>
      <c r="N117" s="38">
        <f>SUM(N114:N116)</f>
        <v>151.57999999999996</v>
      </c>
      <c r="O117" s="61">
        <f t="shared" si="41"/>
        <v>-197.92000000000004</v>
      </c>
      <c r="P117" s="61">
        <f>N117/M117*100</f>
        <v>43.37052932761086</v>
      </c>
      <c r="Q117" s="61">
        <f>N117-757.4</f>
        <v>-605.82</v>
      </c>
      <c r="R117" s="139">
        <f>N117/757.4</f>
        <v>0.20013203063110638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273.79</v>
      </c>
      <c r="G119" s="49">
        <f t="shared" si="37"/>
        <v>91.29000000000002</v>
      </c>
      <c r="H119" s="40">
        <f t="shared" si="39"/>
        <v>150.02191780821917</v>
      </c>
      <c r="I119" s="60">
        <f t="shared" si="38"/>
        <v>6.590000000000032</v>
      </c>
      <c r="J119" s="60">
        <f t="shared" si="40"/>
        <v>102.46631736526948</v>
      </c>
      <c r="K119" s="60">
        <f>F119-173.1</f>
        <v>100.69000000000003</v>
      </c>
      <c r="L119" s="138">
        <f>F119/173.1</f>
        <v>1.5816868861929523</v>
      </c>
      <c r="M119" s="40">
        <f>E119-липень!E119</f>
        <v>0</v>
      </c>
      <c r="N119" s="40">
        <f>F119-липень!F119</f>
        <v>14.720000000000027</v>
      </c>
      <c r="O119" s="53">
        <f>N119-M119</f>
        <v>14.720000000000027</v>
      </c>
      <c r="P119" s="60" t="e">
        <f>N119/M119*100</f>
        <v>#DIV/0!</v>
      </c>
      <c r="Q119" s="60">
        <f>N119-0.4</f>
        <v>14.320000000000027</v>
      </c>
      <c r="R119" s="138">
        <f>N119/0.4</f>
        <v>36.80000000000007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55859.62</v>
      </c>
      <c r="G120" s="49">
        <f t="shared" si="37"/>
        <v>6447.020000000004</v>
      </c>
      <c r="H120" s="40">
        <f t="shared" si="39"/>
        <v>113.04731991435384</v>
      </c>
      <c r="I120" s="53">
        <f t="shared" si="38"/>
        <v>-16116.370000000003</v>
      </c>
      <c r="J120" s="60">
        <f t="shared" si="40"/>
        <v>77.60868589650521</v>
      </c>
      <c r="K120" s="60">
        <f>F120-47624.2</f>
        <v>8235.420000000006</v>
      </c>
      <c r="L120" s="138">
        <f>F120/47624.2</f>
        <v>1.1729251095031519</v>
      </c>
      <c r="M120" s="40">
        <f>E120-липень!E120</f>
        <v>8100</v>
      </c>
      <c r="N120" s="40">
        <f>F120-липень!F120</f>
        <v>9649.89</v>
      </c>
      <c r="O120" s="53">
        <f t="shared" si="41"/>
        <v>1549.8899999999994</v>
      </c>
      <c r="P120" s="60">
        <f aca="true" t="shared" si="42" ref="P120:P125">N120/M120*100</f>
        <v>119.13444444444443</v>
      </c>
      <c r="Q120" s="60">
        <f>N120-7964.9</f>
        <v>1684.9899999999998</v>
      </c>
      <c r="R120" s="138">
        <f>N120/7964.9</f>
        <v>1.2115519341109116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33">
        <v>1754.64</v>
      </c>
      <c r="G121" s="49">
        <f t="shared" si="37"/>
        <v>31.6400000000001</v>
      </c>
      <c r="H121" s="40">
        <f t="shared" si="39"/>
        <v>101.83633197910622</v>
      </c>
      <c r="I121" s="60">
        <f t="shared" si="38"/>
        <v>-2995.3599999999997</v>
      </c>
      <c r="J121" s="60">
        <f t="shared" si="40"/>
        <v>36.939789473684215</v>
      </c>
      <c r="K121" s="60">
        <f>F121-1122.3</f>
        <v>632.3400000000001</v>
      </c>
      <c r="L121" s="138">
        <f>F121/1122.3</f>
        <v>1.5634322373696874</v>
      </c>
      <c r="M121" s="40">
        <f>E121-липень!E121</f>
        <v>40</v>
      </c>
      <c r="N121" s="40">
        <f>F121-липень!F121</f>
        <v>76.50999999999999</v>
      </c>
      <c r="O121" s="53">
        <f t="shared" si="41"/>
        <v>36.50999999999999</v>
      </c>
      <c r="P121" s="60">
        <f t="shared" si="42"/>
        <v>191.27499999999998</v>
      </c>
      <c r="Q121" s="60">
        <f>N121-1.4</f>
        <v>75.10999999999999</v>
      </c>
      <c r="R121" s="138">
        <f>N121/1.4</f>
        <v>54.65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2269.47</v>
      </c>
      <c r="G122" s="49">
        <f t="shared" si="37"/>
        <v>-7344.530000000001</v>
      </c>
      <c r="H122" s="40">
        <f t="shared" si="39"/>
        <v>23.605887247763675</v>
      </c>
      <c r="I122" s="60">
        <f t="shared" si="38"/>
        <v>-20808.53</v>
      </c>
      <c r="J122" s="60">
        <f>F122/D122*100</f>
        <v>9.833911084149404</v>
      </c>
      <c r="K122" s="60">
        <f>F122-14737.3</f>
        <v>-12467.83</v>
      </c>
      <c r="L122" s="138">
        <f>F122/14737.3</f>
        <v>0.1539949651564398</v>
      </c>
      <c r="M122" s="40">
        <f>E122-липень!E122</f>
        <v>2381.5</v>
      </c>
      <c r="N122" s="40">
        <f>F122-липень!F122</f>
        <v>33.5</v>
      </c>
      <c r="O122" s="53">
        <f t="shared" si="41"/>
        <v>-2348</v>
      </c>
      <c r="P122" s="60">
        <f t="shared" si="42"/>
        <v>1.4066764644131848</v>
      </c>
      <c r="Q122" s="60">
        <f>N122-560</f>
        <v>-526.5</v>
      </c>
      <c r="R122" s="138">
        <f>N122/560</f>
        <v>0.059821428571428574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764.62</v>
      </c>
      <c r="G123" s="49">
        <f t="shared" si="37"/>
        <v>-477.0100000000001</v>
      </c>
      <c r="H123" s="40">
        <f t="shared" si="39"/>
        <v>61.581952755651834</v>
      </c>
      <c r="I123" s="60">
        <f t="shared" si="38"/>
        <v>-1235.38</v>
      </c>
      <c r="J123" s="60">
        <f>F123/D123*100</f>
        <v>38.231</v>
      </c>
      <c r="K123" s="60">
        <f>F123-1640.1</f>
        <v>-875.4799999999999</v>
      </c>
      <c r="L123" s="138">
        <f>F123/1640.1</f>
        <v>0.46620328028778735</v>
      </c>
      <c r="M123" s="40">
        <f>E123-липень!E123</f>
        <v>189.59000000000015</v>
      </c>
      <c r="N123" s="40">
        <f>F123-липень!F123</f>
        <v>0.39999999999997726</v>
      </c>
      <c r="O123" s="53">
        <f t="shared" si="41"/>
        <v>-189.19000000000017</v>
      </c>
      <c r="P123" s="60">
        <f t="shared" si="42"/>
        <v>0.21098159185609838</v>
      </c>
      <c r="Q123" s="60">
        <f>N123-290.7</f>
        <v>-290.3</v>
      </c>
      <c r="R123" s="138">
        <f>N123/290.7</f>
        <v>0.0013759889920879852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38">
        <f>F120+F121+F122+F123+F119</f>
        <v>60922.14000000001</v>
      </c>
      <c r="G124" s="62">
        <f t="shared" si="37"/>
        <v>-1251.5899999999892</v>
      </c>
      <c r="H124" s="72">
        <f t="shared" si="39"/>
        <v>97.98694722031316</v>
      </c>
      <c r="I124" s="61">
        <f t="shared" si="38"/>
        <v>-41149.049999999996</v>
      </c>
      <c r="J124" s="61">
        <f>F124/D124*100</f>
        <v>59.68593096641668</v>
      </c>
      <c r="K124" s="61">
        <f>F124-65296.9</f>
        <v>-4374.759999999995</v>
      </c>
      <c r="L124" s="139">
        <f>F124/65296.9</f>
        <v>0.9330020261298776</v>
      </c>
      <c r="M124" s="62">
        <f>M120+M121+M122+M123+M119</f>
        <v>10711.09</v>
      </c>
      <c r="N124" s="62">
        <f>N120+N121+N122+N123+N119</f>
        <v>9775.019999999999</v>
      </c>
      <c r="O124" s="61">
        <f t="shared" si="41"/>
        <v>-936.0700000000015</v>
      </c>
      <c r="P124" s="61">
        <f t="shared" si="42"/>
        <v>91.26074003672827</v>
      </c>
      <c r="Q124" s="61">
        <f>N124-8817.5</f>
        <v>957.5199999999986</v>
      </c>
      <c r="R124" s="139">
        <f>N124/8817.5</f>
        <v>1.1085931386447405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7363.45</v>
      </c>
      <c r="G128" s="49">
        <f aca="true" t="shared" si="43" ref="G128:G135">F128-E128</f>
        <v>645.9499999999998</v>
      </c>
      <c r="H128" s="40">
        <f>F128/E128*100</f>
        <v>109.61592854484554</v>
      </c>
      <c r="I128" s="60">
        <f aca="true" t="shared" si="44" ref="I128:I135">F128-D128</f>
        <v>-1336.5500000000002</v>
      </c>
      <c r="J128" s="60">
        <f>F128/D128*100</f>
        <v>84.63735632183908</v>
      </c>
      <c r="K128" s="60">
        <f>F128-8680.2</f>
        <v>-1316.750000000001</v>
      </c>
      <c r="L128" s="138">
        <f>F128/8680.2</f>
        <v>0.8483041865394806</v>
      </c>
      <c r="M128" s="40">
        <f>E128-липень!E128</f>
        <v>1702</v>
      </c>
      <c r="N128" s="40">
        <f>F128-липень!F128</f>
        <v>2055.2799999999997</v>
      </c>
      <c r="O128" s="53">
        <f aca="true" t="shared" si="45" ref="O128:O135">N128-M128</f>
        <v>353.27999999999975</v>
      </c>
      <c r="P128" s="60">
        <f>N128/M128*100</f>
        <v>120.75675675675674</v>
      </c>
      <c r="Q128" s="60">
        <f>N128-2359.4</f>
        <v>-304.12000000000035</v>
      </c>
      <c r="R128" s="162">
        <f>N128/2359.4</f>
        <v>0.8711028227515468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0.73</v>
      </c>
      <c r="G129" s="49">
        <f t="shared" si="43"/>
        <v>0.73</v>
      </c>
      <c r="H129" s="40"/>
      <c r="I129" s="60">
        <f t="shared" si="44"/>
        <v>0.73</v>
      </c>
      <c r="J129" s="60"/>
      <c r="K129" s="60">
        <f>F129-0.3</f>
        <v>0.43</v>
      </c>
      <c r="L129" s="138">
        <f>F129/0.3</f>
        <v>2.4333333333333336</v>
      </c>
      <c r="M129" s="40">
        <f>E129-липень!E129</f>
        <v>0</v>
      </c>
      <c r="N129" s="40">
        <f>F129-липень!F129</f>
        <v>0.20999999999999996</v>
      </c>
      <c r="O129" s="53">
        <f t="shared" si="45"/>
        <v>0.20999999999999996</v>
      </c>
      <c r="P129" s="60"/>
      <c r="Q129" s="60">
        <f>N129-0.4</f>
        <v>-0.19000000000000006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7397.829999999999</v>
      </c>
      <c r="G130" s="62">
        <f t="shared" si="43"/>
        <v>649.9699999999993</v>
      </c>
      <c r="H130" s="72">
        <f>F130/E130*100</f>
        <v>109.63223896168562</v>
      </c>
      <c r="I130" s="61">
        <f t="shared" si="44"/>
        <v>-1352.8700000000017</v>
      </c>
      <c r="J130" s="61">
        <f>F130/D130*100</f>
        <v>84.53986538219797</v>
      </c>
      <c r="K130" s="61">
        <f>F130-8800.6</f>
        <v>-1402.7700000000013</v>
      </c>
      <c r="L130" s="139">
        <f>G130/8800.6</f>
        <v>0.0738551916914755</v>
      </c>
      <c r="M130" s="62">
        <f>M125+M128+M129+M127</f>
        <v>1706</v>
      </c>
      <c r="N130" s="62">
        <f>N125+N128+N129+N127</f>
        <v>2055.49</v>
      </c>
      <c r="O130" s="61">
        <f t="shared" si="45"/>
        <v>349.4899999999998</v>
      </c>
      <c r="P130" s="61">
        <f>N130/M130*100</f>
        <v>120.48593200468932</v>
      </c>
      <c r="Q130" s="61">
        <f>N130-2362.3</f>
        <v>-306.8100000000004</v>
      </c>
      <c r="R130" s="137">
        <f>N130/2362.3</f>
        <v>0.8701223383990178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69489.5</v>
      </c>
      <c r="G134" s="50">
        <f t="shared" si="43"/>
        <v>-1979.1399999999994</v>
      </c>
      <c r="H134" s="51">
        <f>F134/E134*100</f>
        <v>97.23075743430965</v>
      </c>
      <c r="I134" s="36">
        <f t="shared" si="44"/>
        <v>-45301.990000000005</v>
      </c>
      <c r="J134" s="36">
        <f>F134/D134*100</f>
        <v>60.5354107695614</v>
      </c>
      <c r="K134" s="36">
        <f>F134-77238.6</f>
        <v>-7749.100000000006</v>
      </c>
      <c r="L134" s="136">
        <f>F134/77238.6</f>
        <v>0.8996732203846263</v>
      </c>
      <c r="M134" s="31">
        <f>M117+M131+M124+M130+M133+M132</f>
        <v>12766.99</v>
      </c>
      <c r="N134" s="31">
        <f>N117+N131+N124+N130+N133+N132</f>
        <v>11982.089999999998</v>
      </c>
      <c r="O134" s="36">
        <f t="shared" si="45"/>
        <v>-784.9000000000015</v>
      </c>
      <c r="P134" s="36">
        <f>N134/M134*100</f>
        <v>93.8521139281851</v>
      </c>
      <c r="Q134" s="36">
        <f>N134-11937.6</f>
        <v>44.48999999999796</v>
      </c>
      <c r="R134" s="136">
        <f>N134/11937.6</f>
        <v>1.0037268797748289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377119.41</v>
      </c>
      <c r="G135" s="50">
        <f t="shared" si="43"/>
        <v>-16983.320000000065</v>
      </c>
      <c r="H135" s="51">
        <f>F135/E135*100</f>
        <v>95.69063629678483</v>
      </c>
      <c r="I135" s="36">
        <f t="shared" si="44"/>
        <v>-244551.68</v>
      </c>
      <c r="J135" s="36">
        <f>F135/D135*100</f>
        <v>60.66220804959741</v>
      </c>
      <c r="K135" s="36">
        <f>F135-396993.9</f>
        <v>-19874.49000000005</v>
      </c>
      <c r="L135" s="136">
        <f>F135/396993.9</f>
        <v>0.9499375431209395</v>
      </c>
      <c r="M135" s="22">
        <f>M107+M134</f>
        <v>55169.16999999999</v>
      </c>
      <c r="N135" s="22">
        <f>N107+N134</f>
        <v>43027.069999999985</v>
      </c>
      <c r="O135" s="36">
        <f t="shared" si="45"/>
        <v>-12142.100000000006</v>
      </c>
      <c r="P135" s="36">
        <f>N135/M135*100</f>
        <v>77.9911497671616</v>
      </c>
      <c r="Q135" s="36">
        <f>N135-52532.5</f>
        <v>-9505.430000000015</v>
      </c>
      <c r="R135" s="136">
        <f>N135/52532.5</f>
        <v>0.8190562033027171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3</v>
      </c>
      <c r="D137" s="4" t="s">
        <v>118</v>
      </c>
    </row>
    <row r="138" spans="2:17" ht="31.5">
      <c r="B138" s="78" t="s">
        <v>154</v>
      </c>
      <c r="C138" s="39">
        <f>IF(O107&lt;0,ABS(O107/C137),0)</f>
        <v>3785.733333333335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41877</v>
      </c>
      <c r="D139" s="39">
        <v>1146</v>
      </c>
      <c r="N139" s="195"/>
      <c r="O139" s="195"/>
    </row>
    <row r="140" spans="3:15" ht="15.75">
      <c r="C140" s="120">
        <v>41873</v>
      </c>
      <c r="D140" s="39">
        <v>3494.4</v>
      </c>
      <c r="F140" s="4" t="s">
        <v>166</v>
      </c>
      <c r="G140" s="196" t="s">
        <v>151</v>
      </c>
      <c r="H140" s="196"/>
      <c r="I140" s="115"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41872</v>
      </c>
      <c r="D141" s="39">
        <v>1961.1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128608.6136</v>
      </c>
      <c r="E143" s="80"/>
      <c r="F143" s="100" t="s">
        <v>147</v>
      </c>
      <c r="G143" s="196" t="s">
        <v>149</v>
      </c>
      <c r="H143" s="196"/>
      <c r="I143" s="116">
        <v>114778.75563999999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18695.752049999992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5"/>
      <c r="O139" s="195"/>
    </row>
    <row r="140" spans="3:15" ht="15.75">
      <c r="C140" s="120">
        <v>41850</v>
      </c>
      <c r="D140" s="39">
        <v>4320</v>
      </c>
      <c r="F140" s="4" t="s">
        <v>166</v>
      </c>
      <c r="G140" s="196" t="s">
        <v>151</v>
      </c>
      <c r="H140" s="196"/>
      <c r="I140" s="115">
        <f>13825221.96/1000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41849</v>
      </c>
      <c r="D141" s="39">
        <v>4403.7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f>120856761.09/1000</f>
        <v>120856.76109</v>
      </c>
      <c r="E143" s="80"/>
      <c r="F143" s="100" t="s">
        <v>147</v>
      </c>
      <c r="G143" s="196" t="s">
        <v>149</v>
      </c>
      <c r="H143" s="196"/>
      <c r="I143" s="116">
        <f>107031539.13/1000</f>
        <v>107031.53912999999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f>26199804.73/1000</f>
        <v>26199.80473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18695.752049999992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191</v>
      </c>
      <c r="F4" s="216" t="s">
        <v>116</v>
      </c>
      <c r="G4" s="218" t="s">
        <v>167</v>
      </c>
      <c r="H4" s="184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98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184</v>
      </c>
      <c r="L5" s="193"/>
      <c r="M5" s="213"/>
      <c r="N5" s="199"/>
      <c r="O5" s="221"/>
      <c r="P5" s="208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88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153</v>
      </c>
      <c r="F4" s="216" t="s">
        <v>116</v>
      </c>
      <c r="G4" s="218" t="s">
        <v>175</v>
      </c>
      <c r="H4" s="184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98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177</v>
      </c>
      <c r="L5" s="193"/>
      <c r="M5" s="189"/>
      <c r="N5" s="199"/>
      <c r="O5" s="221"/>
      <c r="P5" s="208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2014-08-27T05:06:06Z</cp:lastPrinted>
  <dcterms:created xsi:type="dcterms:W3CDTF">2003-07-28T11:27:56Z</dcterms:created>
  <dcterms:modified xsi:type="dcterms:W3CDTF">2014-08-27T07:16:17Z</dcterms:modified>
  <cp:category/>
  <cp:version/>
  <cp:contentType/>
  <cp:contentStatus/>
</cp:coreProperties>
</file>